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9200" windowHeight="6950"/>
  </bookViews>
  <sheets>
    <sheet name="البيانات الوصفية " sheetId="4" r:id="rId1"/>
    <sheet name="المتغيرات" sheetId="3" r:id="rId2"/>
    <sheet name="Insurance Financials Search Rep" sheetId="2" r:id="rId3"/>
  </sheets>
  <calcPr calcId="162913"/>
</workbook>
</file>

<file path=xl/calcChain.xml><?xml version="1.0" encoding="utf-8"?>
<calcChain xmlns="http://schemas.openxmlformats.org/spreadsheetml/2006/main">
  <c r="H20" i="2" l="1"/>
  <c r="G20" i="2"/>
  <c r="F20" i="2"/>
  <c r="E20" i="2"/>
  <c r="D20" i="2"/>
  <c r="C20" i="2"/>
  <c r="B20" i="2"/>
  <c r="H19" i="2"/>
  <c r="G19" i="2"/>
  <c r="F19" i="2"/>
  <c r="E19" i="2"/>
  <c r="D19" i="2"/>
  <c r="C19" i="2"/>
  <c r="B19" i="2"/>
  <c r="H18" i="2"/>
  <c r="G18" i="2"/>
  <c r="F18" i="2"/>
  <c r="E18" i="2"/>
  <c r="D18" i="2"/>
  <c r="C18" i="2"/>
  <c r="B18" i="2"/>
  <c r="H17" i="2"/>
  <c r="G17" i="2"/>
  <c r="F17" i="2"/>
  <c r="E17" i="2"/>
  <c r="D17" i="2"/>
  <c r="C17" i="2"/>
  <c r="B17" i="2"/>
  <c r="H16" i="2"/>
  <c r="G16" i="2"/>
  <c r="F16" i="2"/>
  <c r="E16" i="2"/>
  <c r="D16" i="2"/>
  <c r="C16" i="2"/>
  <c r="B16" i="2"/>
  <c r="H15" i="2"/>
  <c r="G15" i="2"/>
  <c r="F15" i="2"/>
  <c r="E15" i="2"/>
  <c r="D15" i="2"/>
  <c r="C15" i="2"/>
  <c r="B15" i="2"/>
  <c r="H14" i="2"/>
  <c r="G14" i="2"/>
  <c r="F14" i="2"/>
  <c r="E14" i="2"/>
  <c r="D14" i="2"/>
  <c r="C14" i="2"/>
  <c r="B14" i="2"/>
  <c r="H13" i="2"/>
  <c r="G13" i="2"/>
  <c r="F13" i="2"/>
  <c r="E13" i="2"/>
  <c r="D13" i="2"/>
  <c r="C13" i="2"/>
  <c r="B13" i="2"/>
  <c r="H12" i="2"/>
  <c r="G12" i="2"/>
  <c r="F12" i="2"/>
  <c r="E12" i="2"/>
  <c r="D12" i="2"/>
  <c r="C12" i="2"/>
  <c r="B12" i="2"/>
  <c r="H11" i="2"/>
  <c r="G11" i="2"/>
  <c r="F11" i="2"/>
  <c r="E11" i="2"/>
  <c r="D11" i="2"/>
  <c r="C11" i="2"/>
  <c r="B11" i="2"/>
  <c r="H10" i="2"/>
  <c r="G10" i="2"/>
  <c r="F10" i="2"/>
  <c r="E10" i="2"/>
  <c r="D10" i="2"/>
  <c r="C10" i="2"/>
  <c r="B10" i="2"/>
  <c r="H9" i="2"/>
  <c r="G9" i="2"/>
  <c r="F9" i="2"/>
  <c r="E9" i="2"/>
  <c r="D9" i="2"/>
  <c r="C9" i="2"/>
  <c r="B9" i="2"/>
  <c r="H8" i="2"/>
  <c r="G8" i="2"/>
  <c r="F8" i="2"/>
  <c r="E8" i="2"/>
  <c r="D8" i="2"/>
  <c r="C8" i="2"/>
  <c r="B8" i="2"/>
  <c r="H7" i="2"/>
  <c r="G7" i="2"/>
  <c r="F7" i="2"/>
  <c r="E7" i="2"/>
  <c r="D7" i="2"/>
  <c r="C7" i="2"/>
  <c r="B7" i="2"/>
  <c r="H6" i="2"/>
  <c r="G6" i="2"/>
  <c r="F6" i="2"/>
  <c r="E6" i="2"/>
  <c r="D6" i="2"/>
  <c r="C6" i="2"/>
  <c r="B6" i="2"/>
  <c r="H5" i="2"/>
  <c r="G5" i="2"/>
  <c r="F5" i="2"/>
  <c r="E5" i="2"/>
  <c r="D5" i="2"/>
  <c r="C5" i="2"/>
  <c r="B5" i="2"/>
  <c r="H4" i="2"/>
  <c r="G4" i="2"/>
  <c r="F4" i="2"/>
  <c r="E4" i="2"/>
  <c r="D4" i="2"/>
  <c r="C4" i="2"/>
  <c r="B4" i="2"/>
</calcChain>
</file>

<file path=xl/sharedStrings.xml><?xml version="1.0" encoding="utf-8"?>
<sst xmlns="http://schemas.openxmlformats.org/spreadsheetml/2006/main" count="94" uniqueCount="65">
  <si>
    <t>توزيع الأقساط المباشرة على قنوات البيع</t>
  </si>
  <si>
    <t>الشركة</t>
  </si>
  <si>
    <t>بواسطة زيارات مباشرة</t>
  </si>
  <si>
    <t>عن طريق سماسرة التأمين</t>
  </si>
  <si>
    <t>عن طريق وكلاء التأمين</t>
  </si>
  <si>
    <t>التأمين عبر المصارف</t>
  </si>
  <si>
    <t>التأمين عبر القنوات الإلكترونية</t>
  </si>
  <si>
    <t>بطرق اخرى</t>
  </si>
  <si>
    <t>المجموع</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</si>
  <si>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</si>
  <si>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</si>
  <si>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</si>
  <si>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</si>
  <si>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الشركة الوطنية للتأمين على الحياة والعام</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</si>
  <si>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</si>
  <si>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</si>
  <si>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</si>
  <si>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</si>
  <si>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</si>
  <si>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</si>
  <si>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</si>
  <si>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</si>
  <si>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</si>
  <si>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</si>
  <si>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</si>
  <si>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</si>
  <si>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إسم مجموعة البيانات</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</si>
  <si>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</si>
  <si>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</si>
  <si>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</si>
  <si>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</si>
  <si>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</si>
  <si>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</si>
  <si>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</si>
  <si>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</si>
  <si>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</si>
  <si>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</si>
  <si>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</si>
  <si>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</si>
  <si>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</si>
  <si>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</si>
  <si>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</si>
  <si>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</si>
  <si>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</si>
  <si>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</si>
  <si>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</si>
  <si>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</si>
  <si>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</si>
  <si>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</si>
  <si>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</si>
  <si>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</si>
  <si>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</si>
  <si>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</si>
  <si>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</si>
  <si>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</si>
  <si>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</si>
  <si>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م</t>
  </si>
  <si>
    <t>اسم المتغير</t>
  </si>
  <si>
    <t>وصف المتغير</t>
  </si>
  <si>
    <t>نوع البيانات</t>
  </si>
  <si>
    <t>مستوى الإلزامية(إجباري/ اختياري)</t>
  </si>
  <si>
    <t>اسم شركة التأمين</t>
  </si>
  <si>
    <t>نص</t>
  </si>
  <si>
    <t>إلزامي</t>
  </si>
  <si>
    <t>رقم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</si>
</sst>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sz val="14"/>
      <color theme="0"/>
      <name val="Arial"/>
      <family val="2"/>
      <scheme val="minor"/>
    </font>
    <font>
      <sz val="11"/>
      <color rgb="FF212529"/>
      <name val="Arial"/>
      <family val="2"/>
      <scheme val="minor"/>
    </font>
    <font>
      <b/>
      <sz val="12"/>
      <color rgb="FF000000"/>
      <name val="Arial"/>
      <family val="2"/>
      <scheme val="minor"/>
    </font>
    <font>
      <sz val="12"/>
      <color rgb="FF000000"/>
      <name val="Arial"/>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FFFFFF"/>
        <bgColor indexed="64"/>
      </patternFill>
    </fill>
    <fill>
      <patternFill patternType="solid">
        <fgColor rgb="FF4472C4"/>
        <bgColor rgb="FF000000"/>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6CA5DA"/>
      </left>
      <right style="medium">
        <color rgb="FF6CA5DA"/>
      </right>
      <top style="medium">
        <color rgb="FF6CA5DA"/>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22" fillId="25" borderId="10" xfId="34" applyFont="1" applyBorder="1" applyAlignment="1">
      <alignment horizontal="center" vertical="center" wrapText="1"/>
    </xf>
    <xf numFmtId="0" fontId="23" fillId="35" borderId="11" xfId="0" applyFont="1" applyFill="1" applyBorder="1" applyAlignment="1">
      <alignment horizontal="right" vertical="center" wrapText="1"/>
    </xf>
    <xf numFmtId="14" fontId="23" fillId="35" borderId="11" xfId="0" applyNumberFormat="1" applyFont="1" applyFill="1" applyBorder="1" applyAlignment="1">
      <alignment horizontal="center" vertical="center" wrapText="1"/>
    </xf>
    <xf numFmtId="0" fontId="17" fillId="36" borderId="11" xfId="34" applyFill="1" applyBorder="1" applyAlignment="1">
      <alignment horizontal="center" vertical="center" wrapText="1" readingOrder="2"/>
    </xf>
    <xf numFmtId="0" fontId="24" fillId="0" borderId="12" xfId="0" applyFont="1" applyBorder="1" applyAlignment="1">
      <alignment horizontal="center" vertical="center" wrapText="1" readingOrder="2"/>
    </xf>
    <xf numFmtId="0" fontId="25" fillId="0" borderId="12" xfId="0" applyFont="1" applyBorder="1" applyAlignment="1">
      <alignment horizontal="center" vertical="center" wrapText="1" readingOrder="2"/>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B10" sqref="B10"/>
    </sheetView>
  </sheetViews>
  <sheetFormatPr defaultRowHeight="14" x14ac:dyDescent="0.3"/>
  <cols>
    <col min="1" max="1" width="40.1640625" customWidth="1"/>
    <col min="2" max="2" width="41.75" customWidth="1"/>
  </cols>
  <sheetData>
    <row r="1" spans="1:2" ht="17.5" x14ac:dyDescent="0.3">
      <c r="A1" s="6" t="s">
        <v>26</v>
      </c>
      <c r="B1" s="6" t="s">
        <v>0</v>
      </c>
    </row>
    <row r="2" spans="1:2" ht="70" x14ac:dyDescent="0.3">
      <c r="A2" s="7" t="s">
        <v>27</v>
      </c>
      <c r="B2" s="7" t="s">
        <v>28</v>
      </c>
    </row>
    <row r="3" spans="1:2" x14ac:dyDescent="0.3">
      <c r="A3" s="7" t="s">
        <v>29</v>
      </c>
      <c r="B3" s="7" t="s">
        <v>30</v>
      </c>
    </row>
    <row r="4" spans="1:2" x14ac:dyDescent="0.3">
      <c r="A4" s="7" t="s">
        <v>31</v>
      </c>
      <c r="B4" s="7" t="s">
        <v>32</v>
      </c>
    </row>
    <row r="5" spans="1:2" ht="42" x14ac:dyDescent="0.3">
      <c r="A5" s="7" t="s">
        <v>33</v>
      </c>
      <c r="B5" s="7" t="s">
        <v>34</v>
      </c>
    </row>
    <row r="6" spans="1:2" x14ac:dyDescent="0.3">
      <c r="A6" s="7" t="s">
        <v>35</v>
      </c>
      <c r="B6" s="8">
        <v>44568</v>
      </c>
    </row>
    <row r="7" spans="1:2" x14ac:dyDescent="0.3">
      <c r="A7" s="7" t="s">
        <v>36</v>
      </c>
      <c r="B7" s="7" t="s">
        <v>37</v>
      </c>
    </row>
    <row r="8" spans="1:2" x14ac:dyDescent="0.3">
      <c r="A8" s="7" t="s">
        <v>38</v>
      </c>
      <c r="B8" s="7" t="s">
        <v>39</v>
      </c>
    </row>
    <row r="9" spans="1:2" x14ac:dyDescent="0.3">
      <c r="A9" s="7" t="s">
        <v>40</v>
      </c>
      <c r="B9" s="7" t="s">
        <v>41</v>
      </c>
    </row>
    <row r="10" spans="1:2" x14ac:dyDescent="0.3">
      <c r="A10" s="7" t="s">
        <v>42</v>
      </c>
      <c r="B10" s="7" t="s">
        <v>43</v>
      </c>
    </row>
    <row r="11" spans="1:2" x14ac:dyDescent="0.3">
      <c r="A11" s="7" t="s">
        <v>44</v>
      </c>
      <c r="B11" s="7" t="s">
        <v>45</v>
      </c>
    </row>
    <row r="12" spans="1:2" x14ac:dyDescent="0.3">
      <c r="A12" s="7" t="s">
        <v>46</v>
      </c>
      <c r="B12" s="7" t="s">
        <v>47</v>
      </c>
    </row>
    <row r="13" spans="1:2" x14ac:dyDescent="0.3">
      <c r="A13" s="7" t="s">
        <v>48</v>
      </c>
      <c r="B13" s="7" t="s">
        <v>49</v>
      </c>
    </row>
    <row r="14" spans="1:2" ht="70" x14ac:dyDescent="0.3">
      <c r="A14" s="7" t="s">
        <v>50</v>
      </c>
      <c r="B14" s="7" t="s">
        <v>51</v>
      </c>
    </row>
    <row r="15" spans="1:2" x14ac:dyDescent="0.3">
      <c r="A15" s="7" t="s">
        <v>52</v>
      </c>
      <c r="B15" s="7" t="s">
        <v>53</v>
      </c>
    </row>
    <row r="16" spans="1:2" x14ac:dyDescent="0.3">
      <c r="A16" s="7" t="s">
        <v>54</v>
      </c>
      <c r="B16" s="7" t="s">
        <v>55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rightToLeft="1" workbookViewId="0">
      <selection activeCell="B20" sqref="B20"/>
    </sheetView>
  </sheetViews>
  <sheetFormatPr defaultRowHeight="14" x14ac:dyDescent="0.3"/>
  <cols>
    <col min="1" max="1" width="20.58203125" customWidth="1"/>
    <col min="2" max="2" width="22.33203125" customWidth="1"/>
    <col min="3" max="3" width="23.5" customWidth="1"/>
    <col min="4" max="4" width="22.4140625" customWidth="1"/>
    <col min="5" max="5" width="25.5" customWidth="1"/>
  </cols>
  <sheetData>
    <row r="1" spans="1:5" x14ac:dyDescent="0.3">
      <c r="A1" s="9" t="s">
        <v>56</v>
      </c>
      <c r="B1" s="9" t="s">
        <v>57</v>
      </c>
      <c r="C1" s="9" t="s">
        <v>58</v>
      </c>
      <c r="D1" s="9" t="s">
        <v>59</v>
      </c>
      <c r="E1" s="9" t="s">
        <v>60</v>
      </c>
    </row>
    <row r="2" spans="1:5" ht="15.5" x14ac:dyDescent="0.3">
      <c r="A2" s="10">
        <v>1</v>
      </c>
      <c r="B2" s="11" t="s">
        <v>1</v>
      </c>
      <c r="C2" s="11" t="s">
        <v>61</v>
      </c>
      <c r="D2" s="11" t="s">
        <v>62</v>
      </c>
      <c r="E2" s="11" t="s">
        <v>63</v>
      </c>
    </row>
    <row r="3" spans="1:5" ht="15.5" x14ac:dyDescent="0.3">
      <c r="A3" s="10">
        <v>2</v>
      </c>
      <c r="B3" s="11" t="s">
        <v>2</v>
      </c>
      <c r="C3" s="11" t="s">
        <v>2</v>
      </c>
      <c r="D3" s="11" t="s">
        <v>64</v>
      </c>
      <c r="E3" s="11" t="s">
        <v>63</v>
      </c>
    </row>
    <row r="4" spans="1:5" ht="15.5" x14ac:dyDescent="0.3">
      <c r="A4" s="10">
        <v>3</v>
      </c>
      <c r="B4" s="11" t="s">
        <v>3</v>
      </c>
      <c r="C4" s="11" t="s">
        <v>3</v>
      </c>
      <c r="D4" s="11" t="s">
        <v>64</v>
      </c>
      <c r="E4" s="11" t="s">
        <v>63</v>
      </c>
    </row>
    <row r="5" spans="1:5" ht="15.5" x14ac:dyDescent="0.3">
      <c r="A5" s="10">
        <v>4</v>
      </c>
      <c r="B5" s="11" t="s">
        <v>4</v>
      </c>
      <c r="C5" s="11" t="s">
        <v>4</v>
      </c>
      <c r="D5" s="11" t="s">
        <v>64</v>
      </c>
      <c r="E5" s="11" t="s">
        <v>63</v>
      </c>
    </row>
    <row r="6" spans="1:5" ht="15.5" x14ac:dyDescent="0.3">
      <c r="A6" s="10">
        <v>5</v>
      </c>
      <c r="B6" s="11" t="s">
        <v>5</v>
      </c>
      <c r="C6" s="11" t="s">
        <v>5</v>
      </c>
      <c r="D6" s="11" t="s">
        <v>64</v>
      </c>
      <c r="E6" s="11" t="s">
        <v>63</v>
      </c>
    </row>
    <row r="7" spans="1:5" ht="31" x14ac:dyDescent="0.3">
      <c r="A7" s="10">
        <v>6</v>
      </c>
      <c r="B7" s="11" t="s">
        <v>6</v>
      </c>
      <c r="C7" s="11" t="s">
        <v>6</v>
      </c>
      <c r="D7" s="11" t="s">
        <v>64</v>
      </c>
      <c r="E7" s="11" t="s">
        <v>63</v>
      </c>
    </row>
    <row r="8" spans="1:5" ht="15.5" x14ac:dyDescent="0.3">
      <c r="A8" s="10">
        <v>7</v>
      </c>
      <c r="B8" s="11" t="s">
        <v>7</v>
      </c>
      <c r="C8" s="11" t="s">
        <v>7</v>
      </c>
      <c r="D8" s="11" t="s">
        <v>64</v>
      </c>
      <c r="E8" s="11" t="s">
        <v>63</v>
      </c>
    </row>
    <row r="9" spans="1:5" ht="15.5" x14ac:dyDescent="0.3">
      <c r="A9" s="10">
        <v>8</v>
      </c>
      <c r="B9" s="11" t="s">
        <v>8</v>
      </c>
      <c r="C9" s="11" t="s">
        <v>8</v>
      </c>
      <c r="D9" s="11" t="s">
        <v>64</v>
      </c>
      <c r="E9" s="11"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rightToLeft="1" workbookViewId="0">
      <selection activeCell="E31" sqref="E31"/>
    </sheetView>
  </sheetViews>
  <sheetFormatPr defaultRowHeight="12.75" x14ac:dyDescent="0.3"/>
  <cols>
    <col min="1" max="1" width="26.75" bestFit="1" customWidth="1"/>
    <col min="2" max="2" width="13.4140625" bestFit="1" customWidth="1"/>
    <col min="3" max="3" width="15.1640625" bestFit="1" customWidth="1"/>
    <col min="4" max="4" width="13.75" bestFit="1" customWidth="1"/>
    <col min="5" max="5" width="12.5" bestFit="1" customWidth="1"/>
    <col min="6" max="6" width="17.5" bestFit="1" customWidth="1"/>
    <col min="7" max="7" width="7.25" bestFit="1" customWidth="1"/>
    <col min="8" max="8" width="9" bestFit="1" customWidth="1"/>
  </cols>
  <sheetData>
    <row r="1" spans="1:8" ht="12.5" customHeight="1" x14ac:dyDescent="0.3">
      <c r="A1" s="5" t="s">
        <v>0</v>
      </c>
      <c r="B1" s="5"/>
      <c r="C1" s="5"/>
      <c r="D1" s="5"/>
      <c r="E1" s="5"/>
      <c r="F1" s="5"/>
      <c r="G1" s="5"/>
      <c r="H1" s="5"/>
    </row>
    <row r="2" spans="1:8" ht="14" x14ac:dyDescent="0.3">
      <c r="A2" s="4" t="s">
        <v>1</v>
      </c>
      <c r="B2" s="1" t="s">
        <v>2</v>
      </c>
      <c r="C2" s="1" t="s">
        <v>3</v>
      </c>
      <c r="D2" s="1" t="s">
        <v>4</v>
      </c>
      <c r="E2" s="1" t="s">
        <v>5</v>
      </c>
      <c r="F2" s="1" t="s">
        <v>6</v>
      </c>
      <c r="G2" s="1" t="s">
        <v>7</v>
      </c>
      <c r="H2" s="1" t="s">
        <v>8</v>
      </c>
    </row>
    <row r="3" spans="1:8" ht="14" x14ac:dyDescent="0.3">
      <c r="A3" s="4"/>
      <c r="B3" s="1">
        <v>2023</v>
      </c>
      <c r="C3" s="1">
        <v>2023</v>
      </c>
      <c r="D3" s="1">
        <v>2023</v>
      </c>
      <c r="E3" s="1">
        <v>2023</v>
      </c>
      <c r="F3" s="1">
        <v>2023</v>
      </c>
      <c r="G3" s="1">
        <v>2023</v>
      </c>
      <c r="H3" s="1">
        <v>2023</v>
      </c>
    </row>
    <row r="4" spans="1:8" ht="14" x14ac:dyDescent="0.3">
      <c r="A4" s="2" t="s">
        <v>9</v>
      </c>
      <c r="B4" s="3">
        <f>13373005</f>
        <v>13373005</v>
      </c>
      <c r="C4" s="3">
        <f>25274083</f>
        <v>25274083</v>
      </c>
      <c r="D4" s="3">
        <f>1541262</f>
        <v>1541262</v>
      </c>
      <c r="E4" s="3">
        <f>2458274</f>
        <v>2458274</v>
      </c>
      <c r="F4" s="3">
        <f>45000</f>
        <v>45000</v>
      </c>
      <c r="G4" s="3">
        <f>55189</f>
        <v>55189</v>
      </c>
      <c r="H4" s="3">
        <f>(13373005+25274083+1541262+2458274+45000+55189)</f>
        <v>42746813</v>
      </c>
    </row>
    <row r="5" spans="1:8" ht="14" x14ac:dyDescent="0.3">
      <c r="A5" s="2" t="s">
        <v>10</v>
      </c>
      <c r="B5" s="3">
        <f>1880425</f>
        <v>1880425</v>
      </c>
      <c r="C5" s="3">
        <f>3569675</f>
        <v>3569675</v>
      </c>
      <c r="D5" s="3">
        <f>2928187</f>
        <v>2928187</v>
      </c>
      <c r="E5" s="3">
        <f>1215892</f>
        <v>1215892</v>
      </c>
      <c r="F5" s="3">
        <f>0</f>
        <v>0</v>
      </c>
      <c r="G5" s="3">
        <f>0</f>
        <v>0</v>
      </c>
      <c r="H5" s="3">
        <f>(1880425+3569675+2928187+1215892+0+0)</f>
        <v>9594179</v>
      </c>
    </row>
    <row r="6" spans="1:8" ht="14" x14ac:dyDescent="0.3">
      <c r="A6" s="2" t="s">
        <v>11</v>
      </c>
      <c r="B6" s="3">
        <f>15412547</f>
        <v>15412547</v>
      </c>
      <c r="C6" s="3">
        <f>12542004</f>
        <v>12542004</v>
      </c>
      <c r="D6" s="3">
        <f>6349991</f>
        <v>6349991</v>
      </c>
      <c r="E6" s="3">
        <f>0</f>
        <v>0</v>
      </c>
      <c r="F6" s="3">
        <f>903</f>
        <v>903</v>
      </c>
      <c r="G6" s="3">
        <f>0</f>
        <v>0</v>
      </c>
      <c r="H6" s="3">
        <f>(15412547+12542004+6349991+0+903+0)</f>
        <v>34305445</v>
      </c>
    </row>
    <row r="7" spans="1:8" ht="14" x14ac:dyDescent="0.3">
      <c r="A7" s="2" t="s">
        <v>12</v>
      </c>
      <c r="B7" s="3">
        <f>6401016</f>
        <v>6401016</v>
      </c>
      <c r="C7" s="3">
        <f>5803296</f>
        <v>5803296</v>
      </c>
      <c r="D7" s="3">
        <f>1776548</f>
        <v>1776548</v>
      </c>
      <c r="E7" s="3">
        <f>0</f>
        <v>0</v>
      </c>
      <c r="F7" s="3">
        <f>0</f>
        <v>0</v>
      </c>
      <c r="G7" s="3">
        <f>1498064</f>
        <v>1498064</v>
      </c>
      <c r="H7" s="3">
        <f>(6401016+5803296+1776548+0+0+1498064)</f>
        <v>15478924</v>
      </c>
    </row>
    <row r="8" spans="1:8" ht="14" x14ac:dyDescent="0.3">
      <c r="A8" s="2" t="s">
        <v>13</v>
      </c>
      <c r="B8" s="3">
        <f>27004801</f>
        <v>27004801</v>
      </c>
      <c r="C8" s="3">
        <f>132628272</f>
        <v>132628272</v>
      </c>
      <c r="D8" s="3">
        <f>5742433</f>
        <v>5742433</v>
      </c>
      <c r="E8" s="3">
        <f>1488728</f>
        <v>1488728</v>
      </c>
      <c r="F8" s="3">
        <f>12663</f>
        <v>12663</v>
      </c>
      <c r="G8" s="3">
        <f>1152857</f>
        <v>1152857</v>
      </c>
      <c r="H8" s="3">
        <f>(27004801+132628272+5742433+1488728+12663+1152857)</f>
        <v>168029754</v>
      </c>
    </row>
    <row r="9" spans="1:8" ht="14" x14ac:dyDescent="0.3">
      <c r="A9" s="2" t="s">
        <v>14</v>
      </c>
      <c r="B9" s="3">
        <f>28710427</f>
        <v>28710427</v>
      </c>
      <c r="C9" s="3">
        <f>29299330</f>
        <v>29299330</v>
      </c>
      <c r="D9" s="3">
        <f>1036238</f>
        <v>1036238</v>
      </c>
      <c r="E9" s="3">
        <f>82703</f>
        <v>82703</v>
      </c>
      <c r="F9" s="3">
        <f>102708</f>
        <v>102708</v>
      </c>
      <c r="G9" s="3">
        <f>0</f>
        <v>0</v>
      </c>
      <c r="H9" s="3">
        <f>(28710427+29299330+1036238+82703+102708+0)</f>
        <v>59231406</v>
      </c>
    </row>
    <row r="10" spans="1:8" ht="14" x14ac:dyDescent="0.3">
      <c r="A10" s="2" t="s">
        <v>15</v>
      </c>
      <c r="B10" s="3">
        <f>3983881</f>
        <v>3983881</v>
      </c>
      <c r="C10" s="3">
        <f>9184142</f>
        <v>9184142</v>
      </c>
      <c r="D10" s="3">
        <f>3093524</f>
        <v>3093524</v>
      </c>
      <c r="E10" s="3">
        <f>15690895</f>
        <v>15690895</v>
      </c>
      <c r="F10" s="3">
        <f>64</f>
        <v>64</v>
      </c>
      <c r="G10" s="3">
        <f>2145595</f>
        <v>2145595</v>
      </c>
      <c r="H10" s="3">
        <f>(3983881+9184142+3093524+15690895+64+2145595)</f>
        <v>34098101</v>
      </c>
    </row>
    <row r="11" spans="1:8" ht="14" x14ac:dyDescent="0.3">
      <c r="A11" s="2" t="s">
        <v>16</v>
      </c>
      <c r="B11" s="3">
        <f>8275</f>
        <v>8275</v>
      </c>
      <c r="C11" s="3">
        <f>2548</f>
        <v>2548</v>
      </c>
      <c r="D11" s="3">
        <f>11068</f>
        <v>11068</v>
      </c>
      <c r="E11" s="3">
        <f>0</f>
        <v>0</v>
      </c>
      <c r="F11" s="3">
        <f>10946</f>
        <v>10946</v>
      </c>
      <c r="G11" s="3">
        <f>0</f>
        <v>0</v>
      </c>
      <c r="H11" s="3">
        <f>(8275+2548+11068+0+10946+0)</f>
        <v>32837</v>
      </c>
    </row>
    <row r="12" spans="1:8" ht="14" x14ac:dyDescent="0.3">
      <c r="A12" s="2" t="s">
        <v>17</v>
      </c>
      <c r="B12" s="3">
        <f>276074</f>
        <v>276074</v>
      </c>
      <c r="C12" s="3">
        <f>1240336</f>
        <v>1240336</v>
      </c>
      <c r="D12" s="3">
        <f>0</f>
        <v>0</v>
      </c>
      <c r="E12" s="3">
        <f>0</f>
        <v>0</v>
      </c>
      <c r="F12" s="3">
        <f>0</f>
        <v>0</v>
      </c>
      <c r="G12" s="3">
        <f>0</f>
        <v>0</v>
      </c>
      <c r="H12" s="3">
        <f>(276074+1240336+0+0+0+0)</f>
        <v>1516410</v>
      </c>
    </row>
    <row r="13" spans="1:8" ht="14" x14ac:dyDescent="0.3">
      <c r="A13" s="2" t="s">
        <v>18</v>
      </c>
      <c r="B13" s="3">
        <f>8192446</f>
        <v>8192446</v>
      </c>
      <c r="C13" s="3">
        <f>7782310</f>
        <v>7782310</v>
      </c>
      <c r="D13" s="3">
        <f>4068442</f>
        <v>4068442</v>
      </c>
      <c r="E13" s="3">
        <f>2546662</f>
        <v>2546662</v>
      </c>
      <c r="F13" s="3">
        <f>108519</f>
        <v>108519</v>
      </c>
      <c r="G13" s="3">
        <f>0</f>
        <v>0</v>
      </c>
      <c r="H13" s="3">
        <f>(8192446+7782310+4068442+2546662+108519+0)</f>
        <v>22698379</v>
      </c>
    </row>
    <row r="14" spans="1:8" ht="14" x14ac:dyDescent="0.3">
      <c r="A14" s="2" t="s">
        <v>19</v>
      </c>
      <c r="B14" s="3">
        <f>3017654</f>
        <v>3017654</v>
      </c>
      <c r="C14" s="3">
        <f>7493418</f>
        <v>7493418</v>
      </c>
      <c r="D14" s="3">
        <f>0</f>
        <v>0</v>
      </c>
      <c r="E14" s="3">
        <f>0</f>
        <v>0</v>
      </c>
      <c r="F14" s="3">
        <f>12438</f>
        <v>12438</v>
      </c>
      <c r="G14" s="3">
        <f>0</f>
        <v>0</v>
      </c>
      <c r="H14" s="3">
        <f>(3017654+7493418+0+0+12438+0)</f>
        <v>10523510</v>
      </c>
    </row>
    <row r="15" spans="1:8" ht="14" x14ac:dyDescent="0.3">
      <c r="A15" s="2" t="s">
        <v>20</v>
      </c>
      <c r="B15" s="3">
        <f>2810059</f>
        <v>2810059</v>
      </c>
      <c r="C15" s="3">
        <f>2082317</f>
        <v>2082317</v>
      </c>
      <c r="D15" s="3">
        <f>0</f>
        <v>0</v>
      </c>
      <c r="E15" s="3">
        <f>0</f>
        <v>0</v>
      </c>
      <c r="F15" s="3">
        <f>0</f>
        <v>0</v>
      </c>
      <c r="G15" s="3">
        <f>0</f>
        <v>0</v>
      </c>
      <c r="H15" s="3">
        <f>(2810059+2082317+0+0+0+0)</f>
        <v>4892376</v>
      </c>
    </row>
    <row r="16" spans="1:8" ht="14" x14ac:dyDescent="0.3">
      <c r="A16" s="2" t="s">
        <v>21</v>
      </c>
      <c r="B16" s="3">
        <f>51861810</f>
        <v>51861810</v>
      </c>
      <c r="C16" s="3">
        <f>14118012</f>
        <v>14118012</v>
      </c>
      <c r="D16" s="3">
        <f>1253528</f>
        <v>1253528</v>
      </c>
      <c r="E16" s="3">
        <f>1627279</f>
        <v>1627279</v>
      </c>
      <c r="F16" s="3">
        <f>321210</f>
        <v>321210</v>
      </c>
      <c r="G16" s="3">
        <f>4324861</f>
        <v>4324861</v>
      </c>
      <c r="H16" s="3">
        <f>(51861810+14118012+1253528+1627279+321210+4324861)</f>
        <v>73506700</v>
      </c>
    </row>
    <row r="17" spans="1:8" ht="14" x14ac:dyDescent="0.3">
      <c r="A17" s="2" t="s">
        <v>22</v>
      </c>
      <c r="B17" s="3">
        <f>3209533</f>
        <v>3209533</v>
      </c>
      <c r="C17" s="3">
        <f>5747518</f>
        <v>5747518</v>
      </c>
      <c r="D17" s="3">
        <f>0</f>
        <v>0</v>
      </c>
      <c r="E17" s="3">
        <f>194964</f>
        <v>194964</v>
      </c>
      <c r="F17" s="3">
        <f>80642</f>
        <v>80642</v>
      </c>
      <c r="G17" s="3">
        <f>515564</f>
        <v>515564</v>
      </c>
      <c r="H17" s="3">
        <f>(3209533+5747518+0+194964+80642+515564)</f>
        <v>9748221</v>
      </c>
    </row>
    <row r="18" spans="1:8" ht="14" x14ac:dyDescent="0.3">
      <c r="A18" s="2" t="s">
        <v>23</v>
      </c>
      <c r="B18" s="3">
        <f>15671841</f>
        <v>15671841</v>
      </c>
      <c r="C18" s="3">
        <f>6011148</f>
        <v>6011148</v>
      </c>
      <c r="D18" s="3">
        <f>0</f>
        <v>0</v>
      </c>
      <c r="E18" s="3">
        <f>0</f>
        <v>0</v>
      </c>
      <c r="F18" s="3">
        <f>0</f>
        <v>0</v>
      </c>
      <c r="G18" s="3">
        <f>0</f>
        <v>0</v>
      </c>
      <c r="H18" s="3">
        <f>(15671841+6011148+0+0+0+0)</f>
        <v>21682989</v>
      </c>
    </row>
    <row r="19" spans="1:8" ht="14" x14ac:dyDescent="0.3">
      <c r="A19" s="2" t="s">
        <v>24</v>
      </c>
      <c r="B19" s="3">
        <f>11521389</f>
        <v>11521389</v>
      </c>
      <c r="C19" s="3">
        <f>9413517</f>
        <v>9413517</v>
      </c>
      <c r="D19" s="3">
        <f>2838775</f>
        <v>2838775</v>
      </c>
      <c r="E19" s="3">
        <f>381123</f>
        <v>381123</v>
      </c>
      <c r="F19" s="3">
        <f>431200</f>
        <v>431200</v>
      </c>
      <c r="G19" s="3">
        <f>214943</f>
        <v>214943</v>
      </c>
      <c r="H19" s="3">
        <f>(11521389+9413517+2838775+381123+431200+214943)</f>
        <v>24800947</v>
      </c>
    </row>
    <row r="20" spans="1:8" ht="14" x14ac:dyDescent="0.3">
      <c r="A20" s="2" t="s">
        <v>25</v>
      </c>
      <c r="B20" s="3">
        <f>1807327</f>
        <v>1807327</v>
      </c>
      <c r="C20" s="3">
        <f>7723913</f>
        <v>7723913</v>
      </c>
      <c r="D20" s="3">
        <f>1303638</f>
        <v>1303638</v>
      </c>
      <c r="E20" s="3">
        <f>18302889</f>
        <v>18302889</v>
      </c>
      <c r="F20" s="3">
        <f>194813</f>
        <v>194813</v>
      </c>
      <c r="G20" s="3">
        <f>3017384</f>
        <v>3017384</v>
      </c>
      <c r="H20" s="3">
        <f>(1807327+7723913+1303638+18302889+194813+3017384)</f>
        <v>32349964</v>
      </c>
    </row>
  </sheetData>
  <mergeCells count="2">
    <mergeCell ref="A2:A3"/>
    <mergeCell ref="A1:H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 </vt:lpstr>
      <vt:lpstr>المتغيرات</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2025-05-28T06:17:03Z</dcterms:created>
  <dcterms:modified xsi:type="dcterms:W3CDTF">2025-05-28T06:17:10Z</dcterms:modified>
</cp:coreProperties>
</file>